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ngelo\Desktop\Consultorias 2018\ERPD Guatemala\Para la entrega de 21 de diciembre\"/>
    </mc:Choice>
  </mc:AlternateContent>
  <xr:revisionPtr revIDLastSave="0" documentId="8_{4EF7F3E7-D71C-4D16-925E-CA2BF5D1AA6D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6" i="1" l="1"/>
  <c r="C24" i="1"/>
  <c r="C22" i="1" s="1"/>
  <c r="D13" i="1"/>
  <c r="D3" i="1" l="1"/>
  <c r="H22" i="1" l="1"/>
  <c r="I22" i="1"/>
  <c r="J22" i="1"/>
  <c r="K22" i="1"/>
  <c r="L22" i="1"/>
  <c r="D24" i="1"/>
  <c r="D22" i="1" s="1"/>
  <c r="E24" i="1"/>
  <c r="E22" i="1" s="1"/>
  <c r="F24" i="1"/>
  <c r="F22" i="1" s="1"/>
  <c r="G24" i="1"/>
  <c r="G22" i="1" s="1"/>
  <c r="C3" i="1"/>
  <c r="C12" i="1" s="1"/>
  <c r="M27" i="1"/>
  <c r="M28" i="1"/>
  <c r="M30" i="1"/>
  <c r="K26" i="1"/>
  <c r="D14" i="1"/>
  <c r="M23" i="1"/>
  <c r="E29" i="1"/>
  <c r="C6" i="1"/>
  <c r="M7" i="1"/>
  <c r="M8" i="1"/>
  <c r="M9" i="1"/>
  <c r="H26" i="1"/>
  <c r="I26" i="1"/>
  <c r="J26" i="1"/>
  <c r="L26" i="1"/>
  <c r="G26" i="1"/>
  <c r="F26" i="1"/>
  <c r="E26" i="1"/>
  <c r="D26" i="1"/>
  <c r="G10" i="1"/>
  <c r="K10" i="1" s="1"/>
  <c r="F10" i="1"/>
  <c r="J10" i="1" s="1"/>
  <c r="E10" i="1"/>
  <c r="I10" i="1" s="1"/>
  <c r="D10" i="1"/>
  <c r="H10" i="1" s="1"/>
  <c r="L10" i="1" s="1"/>
  <c r="F5" i="1"/>
  <c r="E5" i="1"/>
  <c r="E21" i="1" s="1"/>
  <c r="D5" i="1"/>
  <c r="C5" i="1"/>
  <c r="D21" i="1" l="1"/>
  <c r="G5" i="1"/>
  <c r="H5" i="1" s="1"/>
  <c r="I5" i="1" s="1"/>
  <c r="D6" i="1"/>
  <c r="E6" i="1" s="1"/>
  <c r="F6" i="1" s="1"/>
  <c r="G6" i="1" s="1"/>
  <c r="H6" i="1" s="1"/>
  <c r="I6" i="1" s="1"/>
  <c r="J6" i="1" s="1"/>
  <c r="K6" i="1" s="1"/>
  <c r="L6" i="1" s="1"/>
  <c r="C20" i="1"/>
  <c r="C19" i="1" s="1"/>
  <c r="C21" i="1"/>
  <c r="C4" i="1"/>
  <c r="H29" i="1"/>
  <c r="H15" i="1" s="1"/>
  <c r="E15" i="1"/>
  <c r="D12" i="1"/>
  <c r="M15" i="1"/>
  <c r="C14" i="1"/>
  <c r="M26" i="1"/>
  <c r="F21" i="1"/>
  <c r="M11" i="1"/>
  <c r="G13" i="1"/>
  <c r="M13" i="1" s="1"/>
  <c r="D20" i="1"/>
  <c r="D19" i="1" s="1"/>
  <c r="D31" i="1" s="1"/>
  <c r="M29" i="1"/>
  <c r="M10" i="1"/>
  <c r="E3" i="1"/>
  <c r="E14" i="1" s="1"/>
  <c r="C16" i="1"/>
  <c r="H21" i="1" l="1"/>
  <c r="D4" i="1"/>
  <c r="D16" i="1" s="1"/>
  <c r="G21" i="1"/>
  <c r="M14" i="1"/>
  <c r="F3" i="1"/>
  <c r="E12" i="1"/>
  <c r="C31" i="1"/>
  <c r="C33" i="1" s="1"/>
  <c r="J5" i="1"/>
  <c r="I21" i="1"/>
  <c r="E20" i="1"/>
  <c r="E19" i="1" s="1"/>
  <c r="D33" i="1" l="1"/>
  <c r="E4" i="1"/>
  <c r="E16" i="1" s="1"/>
  <c r="G3" i="1"/>
  <c r="F12" i="1"/>
  <c r="F20" i="1"/>
  <c r="F19" i="1" s="1"/>
  <c r="K5" i="1"/>
  <c r="J21" i="1"/>
  <c r="F4" i="1"/>
  <c r="F16" i="1" s="1"/>
  <c r="F31" i="1" l="1"/>
  <c r="H3" i="1"/>
  <c r="G12" i="1"/>
  <c r="G4" i="1" s="1"/>
  <c r="G16" i="1" s="1"/>
  <c r="M24" i="1"/>
  <c r="K21" i="1"/>
  <c r="L5" i="1"/>
  <c r="G20" i="1"/>
  <c r="G19" i="1" s="1"/>
  <c r="G31" i="1" s="1"/>
  <c r="I3" i="1" l="1"/>
  <c r="M22" i="1"/>
  <c r="E31" i="1"/>
  <c r="E33" i="1" s="1"/>
  <c r="F33" i="1" s="1"/>
  <c r="G33" i="1" s="1"/>
  <c r="M12" i="1"/>
  <c r="M5" i="1"/>
  <c r="L21" i="1"/>
  <c r="M21" i="1" s="1"/>
  <c r="H20" i="1"/>
  <c r="H19" i="1" s="1"/>
  <c r="H4" i="1"/>
  <c r="H16" i="1" s="1"/>
  <c r="J3" i="1" l="1"/>
  <c r="H31" i="1"/>
  <c r="H33" i="1" s="1"/>
  <c r="I33" i="1" s="1"/>
  <c r="I20" i="1"/>
  <c r="I19" i="1" s="1"/>
  <c r="I31" i="1" s="1"/>
  <c r="I4" i="1"/>
  <c r="I16" i="1" s="1"/>
  <c r="K3" i="1" l="1"/>
  <c r="J20" i="1"/>
  <c r="J19" i="1" s="1"/>
  <c r="J31" i="1" s="1"/>
  <c r="J33" i="1" s="1"/>
  <c r="J4" i="1"/>
  <c r="J16" i="1" s="1"/>
  <c r="L3" i="1" l="1"/>
  <c r="K20" i="1"/>
  <c r="K19" i="1" s="1"/>
  <c r="K31" i="1" s="1"/>
  <c r="K33" i="1" s="1"/>
  <c r="K4" i="1"/>
  <c r="K16" i="1" s="1"/>
  <c r="M3" i="1" l="1"/>
  <c r="M6" i="1"/>
  <c r="L20" i="1"/>
  <c r="L4" i="1"/>
  <c r="L16" i="1" s="1"/>
  <c r="M4" i="1" l="1"/>
  <c r="M16" i="1" s="1"/>
  <c r="L19" i="1"/>
  <c r="M20" i="1"/>
  <c r="L31" i="1" l="1"/>
  <c r="L33" i="1" s="1"/>
  <c r="M19" i="1"/>
  <c r="M31" i="1" s="1"/>
  <c r="M33" i="1" s="1"/>
</calcChain>
</file>

<file path=xl/sharedStrings.xml><?xml version="1.0" encoding="utf-8"?>
<sst xmlns="http://schemas.openxmlformats.org/spreadsheetml/2006/main" count="96" uniqueCount="80">
  <si>
    <t>Expected uses of funds</t>
  </si>
  <si>
    <t xml:space="preserve">Description </t>
  </si>
  <si>
    <t>Breakdown per year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</si>
  <si>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</si>
  <si>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</si>
  <si>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</si>
  <si>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</si>
  <si>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</si>
  <si>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</si>
  <si>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</si>
  <si>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</si>
  <si>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</si>
  <si>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</si>
  <si>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Costs related to administrative oversight of the REs Program</t>
  </si>
  <si>
    <t>Operational and implementation costs related to the actions and interventions that are part of the ER Program</t>
  </si>
  <si>
    <t>Costs related to development and operation of the Reference Level and Forest Monitoring System;</t>
  </si>
  <si>
    <t>Total uses</t>
  </si>
  <si>
    <t>Expected sources of funds</t>
  </si>
  <si>
    <t>Description</t>
  </si>
  <si>
    <t>Government budget</t>
  </si>
  <si>
    <t xml:space="preserve">Grants </t>
  </si>
  <si>
    <t xml:space="preserve">Loans </t>
  </si>
  <si>
    <t xml:space="preserve">Revenue from REDD+ activities (e.g., sale of agricultural products) </t>
  </si>
  <si>
    <t>Revenue from sale of Emission Reductions (contracted)</t>
  </si>
  <si>
    <t>Revenue from sale of additional  Emission Reductions (not yet contracted)</t>
  </si>
  <si>
    <t xml:space="preserve"> Total sources (before taxes)</t>
  </si>
  <si>
    <t>Net revenue before taxes (=total sources – total uses)</t>
  </si>
  <si>
    <t>Costos de la unidad de gestión del PRE</t>
  </si>
  <si>
    <t>Total</t>
  </si>
  <si>
    <t>Pago de Incentivos Forestales</t>
  </si>
  <si>
    <t>Incentivos forestales a ser otorgados por el INAB (PINPEP y PROBOSQUE)</t>
  </si>
  <si>
    <t>Presupuesto operacional REDD+ INAB – NIVEL 3</t>
  </si>
  <si>
    <t>Presupuesto operacional REDD+ CONAP – NIVEL 3</t>
  </si>
  <si>
    <t>Costo de operaciones institucionales a lo largo de la implementación de las medidas políticas y de supervisión de REDD+ por parte del SIGAP</t>
  </si>
  <si>
    <t>Presupuesto operacional REDD+ MARN – NIVEL 3</t>
  </si>
  <si>
    <t>Costo de operación de actividades de cambio climático relacionadas con la coordinación nacional de REDD+</t>
  </si>
  <si>
    <t>Presupuesto operacional REDD+ MAGA – NIVEL 3</t>
  </si>
  <si>
    <t>Costo coordinación de actividades REDD+ relacionadas con el MAGA</t>
  </si>
  <si>
    <t>Programas y actividades REDD+ NIVEL 2 y 3</t>
  </si>
  <si>
    <t>Costo Fijo promedio de las actividades técnicas y de campo de apoyo a los Programas de Incentivos, servicios de administración forestal y control  y vigilancia de INAB y CONAP</t>
  </si>
  <si>
    <t>Acciones REDD+ en Áreas Protegidas- NIVEL 3</t>
  </si>
  <si>
    <t>Costo de implementación de la conservación y administración, actividades de desarrollo comunitario en el campo en áreas protegidas, en proyectos piloto REDD+</t>
  </si>
  <si>
    <t>Acciones del FIP</t>
  </si>
  <si>
    <t>Costo de implementación de las acciones del FIP</t>
  </si>
  <si>
    <t>Costo de MRV Nacional</t>
  </si>
  <si>
    <t>Medidas de seguimiento al proceso preparatorio de la ENREDD+</t>
  </si>
  <si>
    <t>Costo de medidas preparatorias REDD+ en apoyo al PRE (incluye implementación del plan de distribución de beneficios, abordaje de brechas de salvaguardas, mecanismo de atención a quejas, así como el diálogo e información con partes interesadas)</t>
  </si>
  <si>
    <t>no aplica</t>
  </si>
  <si>
    <t>Costo de operaciones institucionales a nivel nacional, a lo largo del desarrollo, promoción, supervisión y certificación de PINPEP  y PROBOSQUE</t>
  </si>
  <si>
    <t>2da asignación de FCPF para proceso preparatorio de la ENREDD+</t>
  </si>
  <si>
    <t>FIP</t>
  </si>
  <si>
    <t>FCPF</t>
  </si>
  <si>
    <t>Implementación de las acciones de implementación de REDD+</t>
  </si>
  <si>
    <t xml:space="preserve">Ingresos por la venta de Reducciones de Emisiones con el Fondo de Carbono, ERPA FC </t>
  </si>
  <si>
    <t>Presupuesto gubernamental para el pago de incentivos forestales</t>
  </si>
  <si>
    <t>Con base a las proyecciones estimadas por INAB para el pago de incentivos forestales de PROBOSQUE y PINPEP</t>
  </si>
  <si>
    <t xml:space="preserve">Presupuesto operacional Gubernamental
</t>
  </si>
  <si>
    <t>Presupuesto gubernamental (INAB, CONAP, MAGA y MARN) para la operatividad de las acciones REDD+</t>
  </si>
  <si>
    <t>Presupuesto No Gubernamental</t>
  </si>
  <si>
    <t>Implementación de acciones en proyectos tempranos REDD+ por parte de las organizaciones no gubernamentales</t>
  </si>
  <si>
    <t>Beneficio de RE compartido con la línea de acciones REDD+</t>
  </si>
  <si>
    <t>Beneficio monetario compartido con propietarios de tierras</t>
  </si>
  <si>
    <t>Notes</t>
  </si>
  <si>
    <t>Unidad de gestión o ejecutora del PRE, calculada con un staff de 4 personas (1 coordinador, 2 asistentes técnicos y 1 asistente administrativo/financiero) a un costo mensual de $15,000 + $1,500 de gastos operativos, servicios y fungibles.  En el primer año se contempla la adquisición de 1 vehículo y 4 computadoras y equipo de oficina ($40,0000 por única vez)</t>
  </si>
  <si>
    <t>basado en proyecciones institucionales proporcionadas por INAB para los primeros 5 años y del año 6 en adelante asumiendo un 1% de incremento anual</t>
  </si>
  <si>
    <t>Fuente:  ER-PIN</t>
  </si>
  <si>
    <t>Calculado sobre la base del 10% del monto del ERPA</t>
  </si>
  <si>
    <t>Asumiendo una distribución de recursos de la 2da asignación del FCPF, restando el otro 50% el costo de la unidad operativa, asumiendo que estos recursos pueden apoyar para financiar parcialmente su funcionamiento durante la vida del proyecto</t>
  </si>
  <si>
    <t>Asumiendo una distribución equitativa en 5 años del total del presupuesto del FIP, restando el 50% del costo de la unidad operativa, asumiendo que el FIP puede aportar a financiar parcialmente su funcionamiento durante la vida del proyecto</t>
  </si>
  <si>
    <t xml:space="preserve">Calculado sore la base de un 50% del ingreso por venta de las reducciones de emisiones </t>
  </si>
  <si>
    <t>Integra el total de los recursos que aportaría el Gobierno para la operatividad de actividades y el financiamiento de medidas y programas para reducir emisiones</t>
  </si>
  <si>
    <t xml:space="preserve">Bajo el supuesto que el Gobierno aporta todos los recursos para cubrir los costos operacionales de las medidas que implementa cada institución </t>
  </si>
  <si>
    <t>Asumiendo que los recursos establecidos en Ley son asignados para el pago de los incentivos forestales</t>
  </si>
  <si>
    <t>La distribución anual de los recursos es indicativa, ya que no se tiene la base del plan de adquisiciones. En todo caso la suma total de si corresponde a la totalidad de recursos asignados.</t>
  </si>
  <si>
    <t>asumiendo una distribución equitativa de los recursos del FIP en 5 años</t>
  </si>
  <si>
    <t>Otras fuentes de cooperación</t>
  </si>
  <si>
    <t>Diferentes proyectos de cooperación que podrían apoyar de forma directa e indirecta a las actividades de la ENREDD+</t>
  </si>
  <si>
    <t>calculado sobre la base de 10.5 millones de toneladas de CO2 equivalente reducidas entre 2020 y 2025 a un precio de $5/tonelada</t>
  </si>
  <si>
    <t>basado en datos del ER-PIN para el año 1, luego asignando un crecimiento promedio del 3% anual para los primeros 5 años, que corresponde al crecimiento promedio anual del monto pagado por incentivos, y luego del año 6 al 10 un crecimiento promedio estimado anual del 1%</t>
  </si>
  <si>
    <t>este dato es asignado bajo criterio de consultor, sobre la base de un porcentaje del monto de coooperación climática de $15,000,0000, equivalente a los proyectos que están en ejecución entre 2020 y 2025.  En el año 1 se suman $800,000 correspondiente al monto de readiness recientemente aprobado por el FVC para MRV del sector AFOLU, el cual estará en ejecución entre 2019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</si>
</sst>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9" fontId="4" fillId="0" borderId="0" xfId="1" applyFont="1"/>
    <xf numFmtId="4" fontId="6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164" fontId="5" fillId="0" borderId="1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4" fillId="0" borderId="0" xfId="0" applyFont="1" applyBorder="1"/>
    <xf numFmtId="0" fontId="5" fillId="0" borderId="5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 wrapText="1"/>
    </xf>
    <xf numFmtId="164" fontId="4" fillId="0" borderId="7" xfId="0" applyNumberFormat="1" applyFont="1" applyBorder="1"/>
    <xf numFmtId="0" fontId="5" fillId="0" borderId="17" xfId="0" applyFont="1" applyBorder="1" applyAlignment="1">
      <alignment horizontal="left" vertical="center" wrapText="1" indent="2"/>
    </xf>
    <xf numFmtId="0" fontId="4" fillId="0" borderId="17" xfId="0" applyFont="1" applyBorder="1"/>
    <xf numFmtId="0" fontId="10" fillId="0" borderId="0" xfId="0" applyFont="1"/>
    <xf numFmtId="164" fontId="1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 indent="2"/>
    </xf>
    <xf numFmtId="164" fontId="8" fillId="0" borderId="1" xfId="0" applyNumberFormat="1" applyFont="1" applyBorder="1" applyAlignment="1">
      <alignment horizontal="left" vertical="center" wrapText="1" indent="2"/>
    </xf>
    <xf numFmtId="0" fontId="10" fillId="0" borderId="8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 indent="2"/>
    </xf>
    <xf numFmtId="0" fontId="5" fillId="0" borderId="1" xfId="0" applyFont="1" applyBorder="1" applyAlignment="1">
      <alignment horizontal="right" vertical="center" wrapText="1" indent="2"/>
    </xf>
    <xf numFmtId="0" fontId="8" fillId="0" borderId="8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164" fontId="8" fillId="3" borderId="6" xfId="0" applyNumberFormat="1" applyFont="1" applyFill="1" applyBorder="1" applyAlignment="1">
      <alignment horizontal="left" vertical="center" wrapText="1" indent="2"/>
    </xf>
    <xf numFmtId="164" fontId="8" fillId="4" borderId="2" xfId="0" applyNumberFormat="1" applyFont="1" applyFill="1" applyBorder="1" applyAlignment="1">
      <alignment horizontal="left" vertical="center" wrapText="1" indent="2"/>
    </xf>
    <xf numFmtId="164" fontId="8" fillId="3" borderId="2" xfId="0" applyNumberFormat="1" applyFont="1" applyFill="1" applyBorder="1" applyAlignment="1">
      <alignment horizontal="left" vertical="center" wrapText="1" indent="2"/>
    </xf>
    <xf numFmtId="0" fontId="10" fillId="0" borderId="0" xfId="0" applyFont="1" applyAlignment="1">
      <alignment horizontal="center" wrapText="1"/>
    </xf>
    <xf numFmtId="164" fontId="10" fillId="0" borderId="20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11" fillId="0" borderId="21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center" vertical="center"/>
    </xf>
    <xf numFmtId="9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0" xfId="0" applyNumberFormat="1" applyFont="1" applyFill="1"/>
    <xf numFmtId="9" fontId="4" fillId="0" borderId="8" xfId="1" applyFont="1" applyFill="1" applyBorder="1" applyAlignment="1">
      <alignment vertical="center" wrapText="1"/>
    </xf>
    <xf numFmtId="164" fontId="4" fillId="0" borderId="0" xfId="0" applyNumberFormat="1" applyFont="1"/>
    <xf numFmtId="0" fontId="8" fillId="3" borderId="6" xfId="0" applyFont="1" applyFill="1" applyBorder="1" applyAlignment="1">
      <alignment horizontal="right" vertical="center" wrapText="1" indent="2"/>
    </xf>
    <xf numFmtId="0" fontId="8" fillId="3" borderId="7" xfId="0" applyFont="1" applyFill="1" applyBorder="1" applyAlignment="1">
      <alignment horizontal="right" vertical="center" wrapText="1" indent="2"/>
    </xf>
    <xf numFmtId="0" fontId="3" fillId="0" borderId="17" xfId="0" applyFont="1" applyBorder="1" applyAlignment="1">
      <alignment horizontal="right" vertical="center" wrapText="1" indent="2"/>
    </xf>
    <xf numFmtId="0" fontId="3" fillId="0" borderId="6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 wrapText="1" indent="2"/>
    </xf>
    <xf numFmtId="0" fontId="8" fillId="4" borderId="7" xfId="0" applyFont="1" applyFill="1" applyBorder="1" applyAlignment="1">
      <alignment horizontal="right" vertical="center" wrapText="1" indent="2"/>
    </xf>
    <xf numFmtId="0" fontId="3" fillId="0" borderId="9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topLeftCell="B1" zoomScaleNormal="100" workbookViewId="0">
      <selection activeCell="B38" sqref="B38"/>
    </sheetView>
  </sheetViews>
  <sheetFormatPr baseColWidth="10" defaultColWidth="11.42578125" defaultRowHeight="11.25" x14ac:dyDescent="0.2"/>
  <cols>
    <col min="1" max="1" width="28.7109375" style="1" customWidth="1"/>
    <col min="2" max="2" width="34.42578125" style="1" customWidth="1"/>
    <col min="3" max="3" width="14.85546875" style="1" bestFit="1" customWidth="1"/>
    <col min="4" max="4" width="17.85546875" style="1" customWidth="1"/>
    <col min="5" max="5" width="16" style="1" customWidth="1"/>
    <col min="6" max="6" width="17.42578125" style="1" customWidth="1"/>
    <col min="7" max="7" width="17.140625" style="1" customWidth="1"/>
    <col min="8" max="8" width="16.85546875" style="1" customWidth="1"/>
    <col min="9" max="9" width="16.28515625" style="1" customWidth="1"/>
    <col min="10" max="11" width="16.42578125" style="1" customWidth="1"/>
    <col min="12" max="12" width="17.28515625" style="1" customWidth="1"/>
    <col min="13" max="13" width="19" style="1" customWidth="1"/>
    <col min="14" max="14" width="97.28515625" style="56" customWidth="1"/>
    <col min="15" max="16384" width="11.42578125" style="1"/>
  </cols>
  <sheetData>
    <row r="1" spans="1:26" ht="15.75" customHeight="1" thickBot="1" x14ac:dyDescent="0.25">
      <c r="A1" s="73" t="s">
        <v>0</v>
      </c>
      <c r="B1" s="75" t="s">
        <v>1</v>
      </c>
      <c r="C1" s="77" t="s">
        <v>2</v>
      </c>
      <c r="D1" s="78"/>
      <c r="E1" s="78"/>
      <c r="F1" s="78"/>
      <c r="G1" s="78"/>
      <c r="H1" s="78"/>
      <c r="I1" s="78"/>
      <c r="J1" s="78"/>
      <c r="K1" s="78"/>
      <c r="L1" s="79"/>
      <c r="M1" s="67" t="s">
        <v>28</v>
      </c>
      <c r="N1" s="69" t="s">
        <v>62</v>
      </c>
    </row>
    <row r="2" spans="1:26" ht="12" thickBot="1" x14ac:dyDescent="0.25">
      <c r="A2" s="74"/>
      <c r="B2" s="76"/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68"/>
      <c r="N2" s="70"/>
    </row>
    <row r="3" spans="1:26" ht="40.5" customHeight="1" x14ac:dyDescent="0.2">
      <c r="A3" s="38" t="s">
        <v>13</v>
      </c>
      <c r="B3" s="27" t="s">
        <v>27</v>
      </c>
      <c r="C3" s="28">
        <f>(16500*12)+40000</f>
        <v>238000</v>
      </c>
      <c r="D3" s="28">
        <f>16500*12</f>
        <v>198000</v>
      </c>
      <c r="E3" s="28">
        <f t="shared" ref="E3:L3" si="0">D3</f>
        <v>198000</v>
      </c>
      <c r="F3" s="28">
        <f t="shared" si="0"/>
        <v>198000</v>
      </c>
      <c r="G3" s="28">
        <f t="shared" si="0"/>
        <v>198000</v>
      </c>
      <c r="H3" s="28">
        <f t="shared" si="0"/>
        <v>198000</v>
      </c>
      <c r="I3" s="28">
        <f t="shared" si="0"/>
        <v>198000</v>
      </c>
      <c r="J3" s="28">
        <f t="shared" si="0"/>
        <v>198000</v>
      </c>
      <c r="K3" s="28">
        <f t="shared" si="0"/>
        <v>198000</v>
      </c>
      <c r="L3" s="28">
        <f t="shared" si="0"/>
        <v>198000</v>
      </c>
      <c r="M3" s="45">
        <f>SUM(C3:L3)</f>
        <v>2020000</v>
      </c>
      <c r="N3" s="60" t="s">
        <v>63</v>
      </c>
      <c r="O3" s="4"/>
      <c r="P3" s="4"/>
      <c r="Q3" s="4"/>
      <c r="R3" s="4"/>
    </row>
    <row r="4" spans="1:26" ht="40.5" customHeight="1" x14ac:dyDescent="0.2">
      <c r="A4" s="29" t="s">
        <v>14</v>
      </c>
      <c r="B4" s="29"/>
      <c r="C4" s="31">
        <f>C5+C6+C8+C9+C7+C10+C11+C12</f>
        <v>84837977.359999999</v>
      </c>
      <c r="D4" s="31">
        <f>D5+D6+D8+D9+D7+D10+D11+D12</f>
        <v>89725613.325499997</v>
      </c>
      <c r="E4" s="31">
        <f t="shared" ref="E4:L4" si="1">E5+E6+E8+E9+E7+E10+E11+E12</f>
        <v>94541162.863865003</v>
      </c>
      <c r="F4" s="31">
        <f t="shared" si="1"/>
        <v>99940739.476580933</v>
      </c>
      <c r="G4" s="31">
        <f t="shared" si="1"/>
        <v>130708848.86747837</v>
      </c>
      <c r="H4" s="31">
        <f t="shared" si="1"/>
        <v>127184565.52535316</v>
      </c>
      <c r="I4" s="31">
        <f t="shared" si="1"/>
        <v>128373049.34980668</v>
      </c>
      <c r="J4" s="31">
        <f t="shared" si="1"/>
        <v>129573418.01250476</v>
      </c>
      <c r="K4" s="31">
        <f t="shared" si="1"/>
        <v>130785790.3618298</v>
      </c>
      <c r="L4" s="31">
        <f t="shared" si="1"/>
        <v>132010286.43464811</v>
      </c>
      <c r="M4" s="46">
        <f>SUM(C4:L4)</f>
        <v>1147681451.5775666</v>
      </c>
      <c r="N4" s="54"/>
    </row>
    <row r="5" spans="1:26" ht="33" customHeight="1" x14ac:dyDescent="0.2">
      <c r="A5" s="6" t="s">
        <v>29</v>
      </c>
      <c r="B5" s="2" t="s">
        <v>30</v>
      </c>
      <c r="C5" s="5">
        <f>46815924.43+22000000</f>
        <v>68815924.430000007</v>
      </c>
      <c r="D5" s="3">
        <f>50273414.3+(22000000*1.06)</f>
        <v>73593414.299999997</v>
      </c>
      <c r="E5" s="3">
        <f>54776113.36+(22000000*1.07)</f>
        <v>78316113.359999999</v>
      </c>
      <c r="F5" s="3">
        <f>59860053.98+(22000000*1.08)</f>
        <v>83620053.979999989</v>
      </c>
      <c r="G5" s="3">
        <f>(F5*1.08)+(22000000*1.09)</f>
        <v>114289658.2984</v>
      </c>
      <c r="H5" s="8">
        <f>G5*1.01</f>
        <v>115432554.881384</v>
      </c>
      <c r="I5" s="8">
        <f>H5*1.01</f>
        <v>116586880.43019783</v>
      </c>
      <c r="J5" s="8">
        <f t="shared" ref="J5:L6" si="2">I5*1.01</f>
        <v>117752749.23449981</v>
      </c>
      <c r="K5" s="8">
        <f t="shared" si="2"/>
        <v>118930276.72684482</v>
      </c>
      <c r="L5" s="8">
        <f t="shared" si="2"/>
        <v>120119579.49411327</v>
      </c>
      <c r="M5" s="47">
        <f t="shared" ref="M5:M15" si="3">SUM(C5:L5)</f>
        <v>1007457205.1354399</v>
      </c>
      <c r="N5" s="55" t="s">
        <v>64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8" customHeight="1" x14ac:dyDescent="0.2">
      <c r="A6" s="6" t="s">
        <v>31</v>
      </c>
      <c r="B6" s="2" t="s">
        <v>48</v>
      </c>
      <c r="C6" s="3">
        <f>3004869.85</f>
        <v>3004869.85</v>
      </c>
      <c r="D6" s="3">
        <f>C6*1.03</f>
        <v>3095015.9455000004</v>
      </c>
      <c r="E6" s="3">
        <f t="shared" ref="E6:G6" si="4">D6*1.03</f>
        <v>3187866.4238650003</v>
      </c>
      <c r="F6" s="3">
        <f t="shared" si="4"/>
        <v>3283502.4165809504</v>
      </c>
      <c r="G6" s="3">
        <f t="shared" si="4"/>
        <v>3382007.4890783788</v>
      </c>
      <c r="H6" s="3">
        <f>G6*1.01</f>
        <v>3415827.5639691628</v>
      </c>
      <c r="I6" s="3">
        <f t="shared" ref="I6" si="5">H6*1.01</f>
        <v>3449985.8396088546</v>
      </c>
      <c r="J6" s="3">
        <f t="shared" si="2"/>
        <v>3484485.6980049433</v>
      </c>
      <c r="K6" s="3">
        <f t="shared" si="2"/>
        <v>3519330.5549849928</v>
      </c>
      <c r="L6" s="3">
        <f t="shared" si="2"/>
        <v>3554523.8605348426</v>
      </c>
      <c r="M6" s="47">
        <f t="shared" ref="M6" si="6">L6*1.06</f>
        <v>3767795.2921669334</v>
      </c>
      <c r="N6" s="54" t="s">
        <v>78</v>
      </c>
    </row>
    <row r="7" spans="1:26" ht="46.5" customHeight="1" x14ac:dyDescent="0.2">
      <c r="A7" s="6" t="s">
        <v>32</v>
      </c>
      <c r="B7" s="2" t="s">
        <v>33</v>
      </c>
      <c r="C7" s="3">
        <v>5769230.7699999996</v>
      </c>
      <c r="D7" s="3">
        <v>5769230.7699999996</v>
      </c>
      <c r="E7" s="3">
        <v>5769230.7699999996</v>
      </c>
      <c r="F7" s="3">
        <v>5769230.7699999996</v>
      </c>
      <c r="G7" s="3">
        <v>5769230.7699999996</v>
      </c>
      <c r="H7" s="3">
        <v>5769230.7699999996</v>
      </c>
      <c r="I7" s="3">
        <v>5769230.7699999996</v>
      </c>
      <c r="J7" s="3">
        <v>5769230.7699999996</v>
      </c>
      <c r="K7" s="3">
        <v>5769230.7699999996</v>
      </c>
      <c r="L7" s="3">
        <v>5769230.7699999996</v>
      </c>
      <c r="M7" s="47">
        <f t="shared" si="3"/>
        <v>57692307.699999988</v>
      </c>
      <c r="N7" s="55" t="s">
        <v>65</v>
      </c>
    </row>
    <row r="8" spans="1:26" ht="44.25" customHeight="1" x14ac:dyDescent="0.2">
      <c r="A8" s="6" t="s">
        <v>34</v>
      </c>
      <c r="B8" s="2" t="s">
        <v>35</v>
      </c>
      <c r="C8" s="3">
        <v>250000</v>
      </c>
      <c r="D8" s="3">
        <v>250000</v>
      </c>
      <c r="E8" s="3">
        <v>250000</v>
      </c>
      <c r="F8" s="3">
        <v>250000</v>
      </c>
      <c r="G8" s="3">
        <v>250000</v>
      </c>
      <c r="H8" s="3">
        <v>250000</v>
      </c>
      <c r="I8" s="3">
        <v>250000</v>
      </c>
      <c r="J8" s="3">
        <v>250000</v>
      </c>
      <c r="K8" s="3">
        <v>250000</v>
      </c>
      <c r="L8" s="3">
        <v>250000</v>
      </c>
      <c r="M8" s="47">
        <f t="shared" si="3"/>
        <v>2500000</v>
      </c>
      <c r="N8" s="55" t="s">
        <v>65</v>
      </c>
    </row>
    <row r="9" spans="1:26" ht="30" customHeight="1" x14ac:dyDescent="0.2">
      <c r="A9" s="6" t="s">
        <v>36</v>
      </c>
      <c r="B9" s="2" t="s">
        <v>37</v>
      </c>
      <c r="C9" s="3">
        <v>250000</v>
      </c>
      <c r="D9" s="3">
        <v>250000</v>
      </c>
      <c r="E9" s="3">
        <v>250000</v>
      </c>
      <c r="F9" s="3">
        <v>250000</v>
      </c>
      <c r="G9" s="3">
        <v>250000</v>
      </c>
      <c r="H9" s="3">
        <v>250000</v>
      </c>
      <c r="I9" s="3">
        <v>250000</v>
      </c>
      <c r="J9" s="3">
        <v>250000</v>
      </c>
      <c r="K9" s="3">
        <v>250000</v>
      </c>
      <c r="L9" s="3">
        <v>250000</v>
      </c>
      <c r="M9" s="47">
        <f t="shared" si="3"/>
        <v>2500000</v>
      </c>
      <c r="N9" s="55" t="s">
        <v>65</v>
      </c>
    </row>
    <row r="10" spans="1:26" ht="47.25" customHeight="1" x14ac:dyDescent="0.2">
      <c r="A10" s="6" t="s">
        <v>38</v>
      </c>
      <c r="B10" s="2" t="s">
        <v>39</v>
      </c>
      <c r="C10" s="3">
        <v>2065692.31</v>
      </c>
      <c r="D10" s="3">
        <f>C10</f>
        <v>2065692.31</v>
      </c>
      <c r="E10" s="3">
        <f>C10</f>
        <v>2065692.31</v>
      </c>
      <c r="F10" s="3">
        <f>C10</f>
        <v>2065692.31</v>
      </c>
      <c r="G10" s="3">
        <f>C10</f>
        <v>2065692.31</v>
      </c>
      <c r="H10" s="3">
        <f t="shared" ref="H10:L10" si="7">D10</f>
        <v>2065692.31</v>
      </c>
      <c r="I10" s="3">
        <f t="shared" si="7"/>
        <v>2065692.31</v>
      </c>
      <c r="J10" s="3">
        <f t="shared" si="7"/>
        <v>2065692.31</v>
      </c>
      <c r="K10" s="3">
        <f t="shared" si="7"/>
        <v>2065692.31</v>
      </c>
      <c r="L10" s="3">
        <f t="shared" si="7"/>
        <v>2065692.31</v>
      </c>
      <c r="M10" s="47">
        <f t="shared" si="3"/>
        <v>20656923.100000001</v>
      </c>
      <c r="N10" s="55" t="s">
        <v>65</v>
      </c>
    </row>
    <row r="11" spans="1:26" ht="49.5" customHeight="1" x14ac:dyDescent="0.2">
      <c r="A11" s="52" t="s">
        <v>40</v>
      </c>
      <c r="B11" s="33" t="s">
        <v>41</v>
      </c>
      <c r="C11" s="30">
        <v>1260</v>
      </c>
      <c r="D11" s="30">
        <v>1260</v>
      </c>
      <c r="E11" s="30">
        <v>1260</v>
      </c>
      <c r="F11" s="30">
        <v>1260</v>
      </c>
      <c r="G11" s="30">
        <v>1260</v>
      </c>
      <c r="H11" s="30">
        <v>1260</v>
      </c>
      <c r="I11" s="30">
        <v>1260</v>
      </c>
      <c r="J11" s="30">
        <v>1260</v>
      </c>
      <c r="K11" s="30">
        <v>1260</v>
      </c>
      <c r="L11" s="30">
        <v>1260</v>
      </c>
      <c r="M11" s="53">
        <f t="shared" si="3"/>
        <v>12600</v>
      </c>
      <c r="N11" s="55" t="s">
        <v>65</v>
      </c>
    </row>
    <row r="12" spans="1:26" ht="21.75" customHeight="1" x14ac:dyDescent="0.2">
      <c r="A12" s="6" t="s">
        <v>42</v>
      </c>
      <c r="B12" s="2" t="s">
        <v>43</v>
      </c>
      <c r="C12" s="3">
        <f>(24000000/5)-(C3/2)</f>
        <v>4681000</v>
      </c>
      <c r="D12" s="3">
        <f t="shared" ref="D12:G12" si="8">(24000000/5)-(D3/2)</f>
        <v>4701000</v>
      </c>
      <c r="E12" s="3">
        <f t="shared" si="8"/>
        <v>4701000</v>
      </c>
      <c r="F12" s="3">
        <f t="shared" si="8"/>
        <v>4701000</v>
      </c>
      <c r="G12" s="3">
        <f t="shared" si="8"/>
        <v>4701000</v>
      </c>
      <c r="H12" s="3"/>
      <c r="I12" s="3"/>
      <c r="J12" s="3"/>
      <c r="K12" s="3"/>
      <c r="L12" s="3"/>
      <c r="M12" s="47">
        <f t="shared" si="3"/>
        <v>23485000</v>
      </c>
      <c r="N12" s="55" t="s">
        <v>68</v>
      </c>
    </row>
    <row r="13" spans="1:26" ht="41.25" customHeight="1" x14ac:dyDescent="0.2">
      <c r="A13" s="29" t="s">
        <v>15</v>
      </c>
      <c r="B13" s="34" t="s">
        <v>44</v>
      </c>
      <c r="C13" s="32"/>
      <c r="D13" s="32">
        <f>10500000*5*0.05</f>
        <v>2625000</v>
      </c>
      <c r="E13" s="32"/>
      <c r="F13" s="32"/>
      <c r="G13" s="32">
        <f>D13</f>
        <v>2625000</v>
      </c>
      <c r="H13" s="32"/>
      <c r="I13" s="32"/>
      <c r="J13" s="32"/>
      <c r="K13" s="32"/>
      <c r="L13" s="32"/>
      <c r="M13" s="46">
        <f t="shared" si="3"/>
        <v>5250000</v>
      </c>
      <c r="N13" s="55" t="s">
        <v>66</v>
      </c>
    </row>
    <row r="14" spans="1:26" ht="67.5" x14ac:dyDescent="0.2">
      <c r="A14" s="39" t="s">
        <v>45</v>
      </c>
      <c r="B14" s="35" t="s">
        <v>46</v>
      </c>
      <c r="C14" s="32">
        <f>1000000-(C3/2)</f>
        <v>881000</v>
      </c>
      <c r="D14" s="32">
        <f>2000000-(D3/2)</f>
        <v>1901000</v>
      </c>
      <c r="E14" s="32">
        <f>2000000-(E3/2)</f>
        <v>1901000</v>
      </c>
      <c r="F14" s="32"/>
      <c r="G14" s="32"/>
      <c r="H14" s="32"/>
      <c r="I14" s="32"/>
      <c r="J14" s="32"/>
      <c r="K14" s="32"/>
      <c r="L14" s="32"/>
      <c r="M14" s="48">
        <f>SUM(C14:L14)</f>
        <v>4683000</v>
      </c>
      <c r="N14" s="55" t="s">
        <v>67</v>
      </c>
    </row>
    <row r="15" spans="1:26" ht="23.25" thickBot="1" x14ac:dyDescent="0.25">
      <c r="A15" s="39" t="s">
        <v>60</v>
      </c>
      <c r="B15" s="35" t="s">
        <v>61</v>
      </c>
      <c r="C15" s="32"/>
      <c r="D15" s="32"/>
      <c r="E15" s="32">
        <f>E29*0.5</f>
        <v>13125000</v>
      </c>
      <c r="F15" s="32"/>
      <c r="G15" s="32"/>
      <c r="H15" s="32">
        <f>H29*0.5</f>
        <v>13125000</v>
      </c>
      <c r="I15" s="32"/>
      <c r="J15" s="32"/>
      <c r="K15" s="32"/>
      <c r="L15" s="32"/>
      <c r="M15" s="48">
        <f t="shared" si="3"/>
        <v>26250000</v>
      </c>
      <c r="N15" s="55" t="s">
        <v>69</v>
      </c>
    </row>
    <row r="16" spans="1:26" ht="12" thickBot="1" x14ac:dyDescent="0.25">
      <c r="A16" s="71" t="s">
        <v>16</v>
      </c>
      <c r="B16" s="72"/>
      <c r="C16" s="42">
        <f>C3+C4+C13++C14+C15</f>
        <v>85956977.359999999</v>
      </c>
      <c r="D16" s="42">
        <f>D3+D4+D13++D14+D15</f>
        <v>94449613.325499997</v>
      </c>
      <c r="E16" s="42">
        <f t="shared" ref="E16:M16" si="9">E3+E4+E13++E14+E15</f>
        <v>109765162.863865</v>
      </c>
      <c r="F16" s="42">
        <f t="shared" si="9"/>
        <v>100138739.47658093</v>
      </c>
      <c r="G16" s="42">
        <f t="shared" si="9"/>
        <v>133531848.86747837</v>
      </c>
      <c r="H16" s="42">
        <f t="shared" si="9"/>
        <v>140507565.52535316</v>
      </c>
      <c r="I16" s="42">
        <f t="shared" si="9"/>
        <v>128571049.34980668</v>
      </c>
      <c r="J16" s="42">
        <f t="shared" si="9"/>
        <v>129771418.01250476</v>
      </c>
      <c r="K16" s="42">
        <f t="shared" si="9"/>
        <v>130983790.3618298</v>
      </c>
      <c r="L16" s="42">
        <f t="shared" si="9"/>
        <v>132208286.43464811</v>
      </c>
      <c r="M16" s="42">
        <f t="shared" si="9"/>
        <v>1185884451.5775666</v>
      </c>
    </row>
    <row r="17" spans="1:14" ht="21" customHeight="1" thickBot="1" x14ac:dyDescent="0.25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4" ht="43.5" customHeight="1" thickBot="1" x14ac:dyDescent="0.25">
      <c r="A18" s="18" t="s">
        <v>17</v>
      </c>
      <c r="B18" s="19" t="s">
        <v>18</v>
      </c>
      <c r="C18" s="17" t="s">
        <v>3</v>
      </c>
      <c r="D18" s="17" t="s">
        <v>4</v>
      </c>
      <c r="E18" s="17" t="s">
        <v>5</v>
      </c>
      <c r="F18" s="17" t="s">
        <v>6</v>
      </c>
      <c r="G18" s="17" t="s">
        <v>7</v>
      </c>
      <c r="H18" s="17" t="s">
        <v>8</v>
      </c>
      <c r="I18" s="17" t="s">
        <v>9</v>
      </c>
      <c r="J18" s="17" t="s">
        <v>10</v>
      </c>
      <c r="K18" s="17" t="s">
        <v>11</v>
      </c>
      <c r="L18" s="17" t="s">
        <v>12</v>
      </c>
      <c r="M18" s="49" t="s">
        <v>28</v>
      </c>
      <c r="N18" s="57" t="s">
        <v>62</v>
      </c>
    </row>
    <row r="19" spans="1:14" ht="44.25" customHeight="1" x14ac:dyDescent="0.2">
      <c r="A19" s="38" t="s">
        <v>19</v>
      </c>
      <c r="B19" s="44" t="s">
        <v>70</v>
      </c>
      <c r="C19" s="24">
        <f>C20+C21</f>
        <v>80155717.360000014</v>
      </c>
      <c r="D19" s="24">
        <f t="shared" ref="D19:L19" si="10">D20+D21</f>
        <v>85023353.325499997</v>
      </c>
      <c r="E19" s="24">
        <f t="shared" si="10"/>
        <v>89838902.863865003</v>
      </c>
      <c r="F19" s="24">
        <f t="shared" si="10"/>
        <v>95238479.476580948</v>
      </c>
      <c r="G19" s="24">
        <f t="shared" si="10"/>
        <v>126006588.86747837</v>
      </c>
      <c r="H19" s="24">
        <f t="shared" si="10"/>
        <v>127183305.52535316</v>
      </c>
      <c r="I19" s="24">
        <f t="shared" si="10"/>
        <v>128371789.3498067</v>
      </c>
      <c r="J19" s="24">
        <f t="shared" si="10"/>
        <v>129572158.01250476</v>
      </c>
      <c r="K19" s="24">
        <f t="shared" si="10"/>
        <v>130784530.36182982</v>
      </c>
      <c r="L19" s="24">
        <f t="shared" si="10"/>
        <v>132009026.43464811</v>
      </c>
      <c r="M19" s="50">
        <f>SUM(C19:L19)</f>
        <v>1124183851.5775669</v>
      </c>
      <c r="N19" s="58"/>
    </row>
    <row r="20" spans="1:14" ht="42.75" customHeight="1" x14ac:dyDescent="0.2">
      <c r="A20" s="36" t="s">
        <v>56</v>
      </c>
      <c r="B20" s="7" t="s">
        <v>57</v>
      </c>
      <c r="C20" s="15">
        <f>C10+C9+C8+C7+C6</f>
        <v>11339792.93</v>
      </c>
      <c r="D20" s="15">
        <f t="shared" ref="D20:L20" si="11">D10+D9+D8+D7+D6</f>
        <v>11429939.0255</v>
      </c>
      <c r="E20" s="15">
        <f t="shared" si="11"/>
        <v>11522789.503865</v>
      </c>
      <c r="F20" s="15">
        <f t="shared" si="11"/>
        <v>11618425.496580951</v>
      </c>
      <c r="G20" s="15">
        <f t="shared" si="11"/>
        <v>11716930.569078378</v>
      </c>
      <c r="H20" s="15">
        <f t="shared" si="11"/>
        <v>11750750.643969163</v>
      </c>
      <c r="I20" s="15">
        <f t="shared" si="11"/>
        <v>11784908.919608854</v>
      </c>
      <c r="J20" s="15">
        <f t="shared" si="11"/>
        <v>11819408.778004944</v>
      </c>
      <c r="K20" s="15">
        <f t="shared" si="11"/>
        <v>11854253.634984992</v>
      </c>
      <c r="L20" s="15">
        <f t="shared" si="11"/>
        <v>11889446.940534843</v>
      </c>
      <c r="M20" s="51">
        <f t="shared" ref="M20:M30" si="12">SUM(C20:L20)</f>
        <v>116726646.44212712</v>
      </c>
      <c r="N20" s="55" t="s">
        <v>71</v>
      </c>
    </row>
    <row r="21" spans="1:14" ht="39" customHeight="1" x14ac:dyDescent="0.2">
      <c r="A21" s="36" t="s">
        <v>54</v>
      </c>
      <c r="B21" s="7" t="s">
        <v>55</v>
      </c>
      <c r="C21" s="15">
        <f>C5</f>
        <v>68815924.430000007</v>
      </c>
      <c r="D21" s="15">
        <f t="shared" ref="D21:L21" si="13">D5</f>
        <v>73593414.299999997</v>
      </c>
      <c r="E21" s="15">
        <f t="shared" si="13"/>
        <v>78316113.359999999</v>
      </c>
      <c r="F21" s="15">
        <f t="shared" si="13"/>
        <v>83620053.979999989</v>
      </c>
      <c r="G21" s="15">
        <f t="shared" si="13"/>
        <v>114289658.2984</v>
      </c>
      <c r="H21" s="15">
        <f t="shared" si="13"/>
        <v>115432554.881384</v>
      </c>
      <c r="I21" s="15">
        <f t="shared" si="13"/>
        <v>116586880.43019783</v>
      </c>
      <c r="J21" s="15">
        <f t="shared" si="13"/>
        <v>117752749.23449981</v>
      </c>
      <c r="K21" s="15">
        <f t="shared" si="13"/>
        <v>118930276.72684482</v>
      </c>
      <c r="L21" s="15">
        <f t="shared" si="13"/>
        <v>120119579.49411327</v>
      </c>
      <c r="M21" s="51">
        <f t="shared" si="12"/>
        <v>1007457205.1354399</v>
      </c>
      <c r="N21" s="55" t="s">
        <v>72</v>
      </c>
    </row>
    <row r="22" spans="1:14" ht="32.25" customHeight="1" x14ac:dyDescent="0.2">
      <c r="A22" s="29" t="s">
        <v>20</v>
      </c>
      <c r="B22" s="25"/>
      <c r="C22" s="26">
        <f>C23+C24+C25</f>
        <v>7100000</v>
      </c>
      <c r="D22" s="26">
        <f t="shared" ref="D22:L22" si="14">D23+D24+D25</f>
        <v>7300000</v>
      </c>
      <c r="E22" s="26">
        <f t="shared" si="14"/>
        <v>7300000</v>
      </c>
      <c r="F22" s="26">
        <f t="shared" si="14"/>
        <v>5300000</v>
      </c>
      <c r="G22" s="26">
        <f t="shared" si="14"/>
        <v>5300000</v>
      </c>
      <c r="H22" s="26">
        <f t="shared" si="14"/>
        <v>0</v>
      </c>
      <c r="I22" s="26">
        <f t="shared" si="14"/>
        <v>0</v>
      </c>
      <c r="J22" s="26">
        <f t="shared" si="14"/>
        <v>0</v>
      </c>
      <c r="K22" s="26">
        <f t="shared" si="14"/>
        <v>0</v>
      </c>
      <c r="L22" s="26">
        <f t="shared" si="14"/>
        <v>0</v>
      </c>
      <c r="M22" s="50">
        <f t="shared" si="12"/>
        <v>32300000</v>
      </c>
      <c r="N22" s="55"/>
    </row>
    <row r="23" spans="1:14" ht="45.75" customHeight="1" x14ac:dyDescent="0.2">
      <c r="A23" s="37" t="s">
        <v>51</v>
      </c>
      <c r="B23" s="7" t="s">
        <v>49</v>
      </c>
      <c r="C23" s="16">
        <v>1000000</v>
      </c>
      <c r="D23" s="16">
        <v>2000000</v>
      </c>
      <c r="E23" s="16">
        <v>2000000</v>
      </c>
      <c r="F23" s="7"/>
      <c r="G23" s="7"/>
      <c r="H23" s="7"/>
      <c r="I23" s="7"/>
      <c r="J23" s="7"/>
      <c r="K23" s="7"/>
      <c r="L23" s="7"/>
      <c r="M23" s="51">
        <f t="shared" si="12"/>
        <v>5000000</v>
      </c>
      <c r="N23" s="55" t="s">
        <v>73</v>
      </c>
    </row>
    <row r="24" spans="1:14" ht="45.75" customHeight="1" x14ac:dyDescent="0.2">
      <c r="A24" s="37" t="s">
        <v>50</v>
      </c>
      <c r="B24" s="7" t="s">
        <v>52</v>
      </c>
      <c r="C24" s="16">
        <f>24000000/5</f>
        <v>4800000</v>
      </c>
      <c r="D24" s="16">
        <f t="shared" ref="D24:G24" si="15">24000000/5</f>
        <v>4800000</v>
      </c>
      <c r="E24" s="16">
        <f t="shared" si="15"/>
        <v>4800000</v>
      </c>
      <c r="F24" s="16">
        <f t="shared" si="15"/>
        <v>4800000</v>
      </c>
      <c r="G24" s="16">
        <f t="shared" si="15"/>
        <v>4800000</v>
      </c>
      <c r="H24" s="7"/>
      <c r="I24" s="7"/>
      <c r="J24" s="7"/>
      <c r="K24" s="7"/>
      <c r="L24" s="7"/>
      <c r="M24" s="51">
        <f t="shared" si="12"/>
        <v>24000000</v>
      </c>
      <c r="N24" s="55" t="s">
        <v>74</v>
      </c>
    </row>
    <row r="25" spans="1:14" ht="45.75" customHeight="1" x14ac:dyDescent="0.2">
      <c r="A25" s="37" t="s">
        <v>75</v>
      </c>
      <c r="B25" s="7" t="s">
        <v>76</v>
      </c>
      <c r="C25" s="16">
        <f>500000+800000</f>
        <v>1300000</v>
      </c>
      <c r="D25" s="16">
        <v>500000</v>
      </c>
      <c r="E25" s="16">
        <v>500000</v>
      </c>
      <c r="F25" s="16">
        <v>500000</v>
      </c>
      <c r="G25" s="16">
        <v>500000</v>
      </c>
      <c r="H25" s="7"/>
      <c r="I25" s="7"/>
      <c r="J25" s="7"/>
      <c r="K25" s="7"/>
      <c r="L25" s="7"/>
      <c r="M25" s="51"/>
      <c r="N25" s="55" t="s">
        <v>79</v>
      </c>
    </row>
    <row r="26" spans="1:14" ht="45.75" customHeight="1" x14ac:dyDescent="0.2">
      <c r="A26" s="29" t="s">
        <v>58</v>
      </c>
      <c r="B26" s="25" t="s">
        <v>59</v>
      </c>
      <c r="C26" s="26">
        <f>C11</f>
        <v>1260</v>
      </c>
      <c r="D26" s="26">
        <f t="shared" ref="D26:L26" si="16">D11</f>
        <v>1260</v>
      </c>
      <c r="E26" s="26">
        <f t="shared" si="16"/>
        <v>1260</v>
      </c>
      <c r="F26" s="26">
        <f t="shared" si="16"/>
        <v>1260</v>
      </c>
      <c r="G26" s="26">
        <f t="shared" si="16"/>
        <v>1260</v>
      </c>
      <c r="H26" s="26">
        <f t="shared" si="16"/>
        <v>1260</v>
      </c>
      <c r="I26" s="26">
        <f t="shared" si="16"/>
        <v>1260</v>
      </c>
      <c r="J26" s="26">
        <f t="shared" si="16"/>
        <v>1260</v>
      </c>
      <c r="K26" s="26">
        <f t="shared" si="16"/>
        <v>1260</v>
      </c>
      <c r="L26" s="26">
        <f t="shared" si="16"/>
        <v>1260</v>
      </c>
      <c r="M26" s="50">
        <f t="shared" si="12"/>
        <v>12600</v>
      </c>
      <c r="N26" s="55"/>
    </row>
    <row r="27" spans="1:14" ht="35.25" customHeight="1" x14ac:dyDescent="0.2">
      <c r="A27" s="14" t="s">
        <v>21</v>
      </c>
      <c r="B27" s="7" t="s">
        <v>47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1">
        <f t="shared" si="12"/>
        <v>0</v>
      </c>
      <c r="N27" s="55"/>
    </row>
    <row r="28" spans="1:14" ht="44.25" customHeight="1" x14ac:dyDescent="0.2">
      <c r="A28" s="14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1">
        <f t="shared" si="12"/>
        <v>0</v>
      </c>
      <c r="N28" s="55"/>
    </row>
    <row r="29" spans="1:14" ht="22.5" x14ac:dyDescent="0.2">
      <c r="A29" s="29" t="s">
        <v>23</v>
      </c>
      <c r="B29" s="25" t="s">
        <v>53</v>
      </c>
      <c r="C29" s="25"/>
      <c r="D29" s="25"/>
      <c r="E29" s="24">
        <f>10500000*5/2</f>
        <v>26250000</v>
      </c>
      <c r="F29" s="24"/>
      <c r="G29" s="23"/>
      <c r="H29" s="24">
        <f>E29</f>
        <v>26250000</v>
      </c>
      <c r="I29" s="25"/>
      <c r="J29" s="25"/>
      <c r="K29" s="25"/>
      <c r="L29" s="25"/>
      <c r="M29" s="51">
        <f t="shared" si="12"/>
        <v>52500000</v>
      </c>
      <c r="N29" s="55" t="s">
        <v>77</v>
      </c>
    </row>
    <row r="30" spans="1:14" ht="23.25" thickBot="1" x14ac:dyDescent="0.25">
      <c r="A30" s="40" t="s">
        <v>24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1">
        <f t="shared" si="12"/>
        <v>0</v>
      </c>
      <c r="N30" s="55"/>
    </row>
    <row r="31" spans="1:14" ht="25.5" customHeight="1" thickBot="1" x14ac:dyDescent="0.25">
      <c r="A31" s="62" t="s">
        <v>25</v>
      </c>
      <c r="B31" s="63"/>
      <c r="C31" s="41">
        <f t="shared" ref="C31:M31" si="17">C19+C22+C26+C27+C28+C29+C30</f>
        <v>87256977.360000014</v>
      </c>
      <c r="D31" s="41">
        <f t="shared" si="17"/>
        <v>92324613.325499997</v>
      </c>
      <c r="E31" s="41">
        <f t="shared" si="17"/>
        <v>123390162.863865</v>
      </c>
      <c r="F31" s="41">
        <f t="shared" si="17"/>
        <v>100539739.47658095</v>
      </c>
      <c r="G31" s="41">
        <f t="shared" si="17"/>
        <v>131307848.86747837</v>
      </c>
      <c r="H31" s="41">
        <f t="shared" si="17"/>
        <v>153434565.52535316</v>
      </c>
      <c r="I31" s="41">
        <f t="shared" si="17"/>
        <v>128373049.3498067</v>
      </c>
      <c r="J31" s="41">
        <f t="shared" si="17"/>
        <v>129573418.01250476</v>
      </c>
      <c r="K31" s="41">
        <f t="shared" si="17"/>
        <v>130785790.36182982</v>
      </c>
      <c r="L31" s="41">
        <f t="shared" si="17"/>
        <v>132010286.43464811</v>
      </c>
      <c r="M31" s="43">
        <f t="shared" si="17"/>
        <v>1208996451.5775669</v>
      </c>
      <c r="N31" s="59"/>
    </row>
    <row r="32" spans="1:14" ht="12" thickBot="1" x14ac:dyDescent="0.25">
      <c r="A32" s="64"/>
      <c r="B32" s="64"/>
      <c r="C32" s="21"/>
      <c r="D32" s="21"/>
      <c r="E32" s="21"/>
      <c r="F32" s="21"/>
      <c r="G32" s="21"/>
      <c r="H32" s="22"/>
      <c r="I32" s="22"/>
      <c r="J32" s="22"/>
      <c r="K32" s="22"/>
      <c r="L32" s="22"/>
      <c r="M32" s="22"/>
    </row>
    <row r="33" spans="1:13" ht="12" thickBot="1" x14ac:dyDescent="0.25">
      <c r="A33" s="65" t="s">
        <v>26</v>
      </c>
      <c r="B33" s="66"/>
      <c r="C33" s="20">
        <f>C31-C16</f>
        <v>1300000.0000000149</v>
      </c>
      <c r="D33" s="20">
        <f>(D31-D16)+C33</f>
        <v>-824999.9999999851</v>
      </c>
      <c r="E33" s="20">
        <f>(E31-E16)+D33</f>
        <v>12800000.000000015</v>
      </c>
      <c r="F33" s="20">
        <f t="shared" ref="F33:L33" si="18">(F31-F16)+E33</f>
        <v>13201000.00000003</v>
      </c>
      <c r="G33" s="20">
        <f t="shared" si="18"/>
        <v>10977000.00000003</v>
      </c>
      <c r="H33" s="20">
        <f t="shared" si="18"/>
        <v>23904000.00000003</v>
      </c>
      <c r="I33" s="20">
        <f t="shared" si="18"/>
        <v>23706000.000000045</v>
      </c>
      <c r="J33" s="20">
        <f t="shared" si="18"/>
        <v>23508000.000000045</v>
      </c>
      <c r="K33" s="20">
        <f t="shared" si="18"/>
        <v>23310000.00000006</v>
      </c>
      <c r="L33" s="20">
        <f t="shared" si="18"/>
        <v>23112000.00000006</v>
      </c>
      <c r="M33" s="20">
        <f t="shared" ref="M33" si="19">M31-M16</f>
        <v>23112000.000000238</v>
      </c>
    </row>
    <row r="38" spans="1:13" x14ac:dyDescent="0.2">
      <c r="C38" s="61"/>
    </row>
    <row r="39" spans="1:13" x14ac:dyDescent="0.2">
      <c r="C39" s="61"/>
    </row>
    <row r="40" spans="1:13" x14ac:dyDescent="0.2">
      <c r="C40" s="4"/>
    </row>
    <row r="41" spans="1:13" x14ac:dyDescent="0.2">
      <c r="C41" s="61"/>
    </row>
    <row r="42" spans="1:13" x14ac:dyDescent="0.2">
      <c r="C42" s="4"/>
    </row>
  </sheetData>
  <mergeCells count="9">
    <mergeCell ref="A31:B31"/>
    <mergeCell ref="A32:B32"/>
    <mergeCell ref="A33:B33"/>
    <mergeCell ref="M1:M2"/>
    <mergeCell ref="N1:N2"/>
    <mergeCell ref="A16:B16"/>
    <mergeCell ref="A1:A2"/>
    <mergeCell ref="B1:B2"/>
    <mergeCell ref="C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CEstrada</dc:creator>
  <cp:lastModifiedBy>Angelo</cp:lastModifiedBy>
  <dcterms:created xsi:type="dcterms:W3CDTF">2018-12-17T13:38:23Z</dcterms:created>
  <dcterms:modified xsi:type="dcterms:W3CDTF">2018-12-21T17:14:09Z</dcterms:modified>
</cp:coreProperties>
</file>